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515" windowHeight="2385" activeTab="0"/>
  </bookViews>
  <sheets>
    <sheet name="Sheet1" sheetId="1" r:id="rId1"/>
    <sheet name="Skoda pakkumin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sten</author>
    <author>khk_tiina.sats</author>
  </authors>
  <commentList>
    <comment ref="B3" authorId="0">
      <text>
        <r>
          <rPr>
            <b/>
            <sz val="9"/>
            <rFont val="Tahoma"/>
            <family val="2"/>
          </rPr>
          <t>Tiina:</t>
        </r>
        <r>
          <rPr>
            <sz val="9"/>
            <rFont val="Tahoma"/>
            <family val="2"/>
          </rPr>
          <t xml:space="preserve">
Anti 1 auto 1 kuu kilometraaži vahemik
</t>
        </r>
      </text>
    </comment>
    <comment ref="C8" authorId="0">
      <text>
        <r>
          <rPr>
            <b/>
            <sz val="9"/>
            <rFont val="Tahoma"/>
            <family val="2"/>
          </rPr>
          <t xml:space="preserve">Tiina: Golf
</t>
        </r>
      </text>
    </comment>
    <comment ref="D6" authorId="0">
      <text>
        <r>
          <rPr>
            <b/>
            <sz val="9"/>
            <rFont val="Tahoma"/>
            <family val="2"/>
          </rPr>
          <t xml:space="preserve">Tiina: </t>
        </r>
        <r>
          <rPr>
            <sz val="9"/>
            <rFont val="Tahoma"/>
            <family val="2"/>
          </rPr>
          <t>Komp kokku (isiklik auto, parkimine, takso)</t>
        </r>
      </text>
    </comment>
    <comment ref="D3" authorId="0">
      <text>
        <r>
          <rPr>
            <b/>
            <sz val="9"/>
            <rFont val="Tahoma"/>
            <family val="2"/>
          </rPr>
          <t xml:space="preserve">Tiina: </t>
        </r>
        <r>
          <rPr>
            <sz val="9"/>
            <rFont val="Tahoma"/>
            <family val="2"/>
          </rPr>
          <t>Tuletatud 1 kuu vahemikest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Tiina: tuletatud
</t>
        </r>
      </text>
    </comment>
    <comment ref="F6" authorId="1">
      <text>
        <r>
          <rPr>
            <b/>
            <sz val="9"/>
            <rFont val="Tahoma"/>
            <family val="2"/>
          </rPr>
          <t>khk_tiina.sats:</t>
        </r>
        <r>
          <rPr>
            <sz val="9"/>
            <rFont val="Tahoma"/>
            <family val="2"/>
          </rPr>
          <t xml:space="preserve">
4. hinnanguline, teiste järgi</t>
        </r>
      </text>
    </comment>
    <comment ref="F8" authorId="1">
      <text>
        <r>
          <rPr>
            <b/>
            <sz val="9"/>
            <rFont val="Tahoma"/>
            <family val="2"/>
          </rPr>
          <t>khk_tiina.sats:</t>
        </r>
        <r>
          <rPr>
            <sz val="9"/>
            <rFont val="Tahoma"/>
            <family val="2"/>
          </rPr>
          <t xml:space="preserve">
kasutusrent</t>
        </r>
      </text>
    </comment>
    <comment ref="D2" authorId="1">
      <text>
        <r>
          <rPr>
            <b/>
            <sz val="9"/>
            <rFont val="Tahoma"/>
            <family val="2"/>
          </rPr>
          <t>khk_tiina.sats:</t>
        </r>
        <r>
          <rPr>
            <sz val="9"/>
            <rFont val="Tahoma"/>
            <family val="2"/>
          </rPr>
          <t xml:space="preserve">
Koduõde OÜ andmete kohaselt oli visiitide arv 42941, kuid HK statistika andmetel oli 31376</t>
        </r>
      </text>
    </comment>
    <comment ref="G2" authorId="1">
      <text>
        <r>
          <rPr>
            <b/>
            <sz val="9"/>
            <rFont val="Tahoma"/>
            <family val="2"/>
          </rPr>
          <t>khk_tiina.sats:</t>
        </r>
        <r>
          <rPr>
            <sz val="9"/>
            <rFont val="Tahoma"/>
            <family val="2"/>
          </rPr>
          <t xml:space="preserve">
HK statistika andmed</t>
        </r>
      </text>
    </comment>
  </commentList>
</comments>
</file>

<file path=xl/comments2.xml><?xml version="1.0" encoding="utf-8"?>
<comments xmlns="http://schemas.openxmlformats.org/spreadsheetml/2006/main">
  <authors>
    <author>khk_tiina.sats</author>
  </authors>
  <commentList>
    <comment ref="A8" authorId="0">
      <text>
        <r>
          <rPr>
            <b/>
            <sz val="9"/>
            <rFont val="Tahoma"/>
            <family val="2"/>
          </rPr>
          <t>khk_tiina.sats:</t>
        </r>
        <r>
          <rPr>
            <sz val="9"/>
            <rFont val="Tahoma"/>
            <family val="2"/>
          </rPr>
          <t xml:space="preserve">
Aastakulu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<sst xmlns="http://schemas.openxmlformats.org/spreadsheetml/2006/main" count="58" uniqueCount="56">
  <si>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OÜ Medendi </t>
  </si>
  <si>
    <t>Visiite</t>
  </si>
  <si>
    <t>Kilometraaž</t>
  </si>
  <si>
    <t>Autosid</t>
  </si>
  <si>
    <t>Kütus</t>
  </si>
  <si>
    <t>Hooldus</t>
  </si>
  <si>
    <t>Kulu 1visiidile</t>
  </si>
  <si>
    <t>Kulu 1km</t>
  </si>
  <si>
    <t>Ühist. Õdesid</t>
  </si>
  <si>
    <t>OÜ Õendusteenused</t>
  </si>
  <si>
    <t>Muud kulud</t>
  </si>
  <si>
    <t>Räpina Haigla</t>
  </si>
  <si>
    <t>SA Kuressaare Haigla</t>
  </si>
  <si>
    <t>Lõuna-Eesti Haigla</t>
  </si>
  <si>
    <t>TÜ Kliinikum</t>
  </si>
  <si>
    <t>Mudel</t>
  </si>
  <si>
    <t>Octavia1Z31G4 Octavia luukpära Active</t>
  </si>
  <si>
    <t>Käigukast</t>
  </si>
  <si>
    <t>5k. manuaal</t>
  </si>
  <si>
    <t>Sissemakse</t>
  </si>
  <si>
    <t>Kuumakse</t>
  </si>
  <si>
    <t>Periood (aastad)</t>
  </si>
  <si>
    <t>Liikluskindlustus</t>
  </si>
  <si>
    <t>5421D4 Fabia luukpära Classic</t>
  </si>
  <si>
    <t>Võimsus (Kw)</t>
  </si>
  <si>
    <t>Auto hind</t>
  </si>
  <si>
    <t>Kasko 1 osas 191 eur</t>
  </si>
  <si>
    <t>Kasko 12 osas 191 eur</t>
  </si>
  <si>
    <t>Kasko 1 osas 319 eur</t>
  </si>
  <si>
    <t>Kasko 12 osas 319 eur</t>
  </si>
  <si>
    <t>5J71D4 Roomster Active</t>
  </si>
  <si>
    <t>Kütusekulu l/100km (keskmine)</t>
  </si>
  <si>
    <t>keskmine kilometraaž aastal 2011</t>
  </si>
  <si>
    <t>Kulu kütusele 1 km</t>
  </si>
  <si>
    <t>Kapitalikulu+sissemakse 1km</t>
  </si>
  <si>
    <t>Hooldus 1km (2% aastas hinnast)</t>
  </si>
  <si>
    <t>Kütuse L (eurodes)</t>
  </si>
  <si>
    <t>Fabia</t>
  </si>
  <si>
    <t>Kasko+kindlsutus</t>
  </si>
  <si>
    <t>Keskmine km hulk aastas</t>
  </si>
  <si>
    <t>Transpordi kulu mudelis visiidi kohta</t>
  </si>
  <si>
    <t>Ühistransport</t>
  </si>
  <si>
    <t>Kasko</t>
  </si>
  <si>
    <t>Kindlustus</t>
  </si>
  <si>
    <t>Kasutusrent</t>
  </si>
  <si>
    <t>Km visiidi kohta</t>
  </si>
  <si>
    <t>Kilomeetri hind</t>
  </si>
  <si>
    <t>Octavia</t>
  </si>
  <si>
    <t>Roomster</t>
  </si>
  <si>
    <t>Visiidi hind</t>
  </si>
  <si>
    <t>http://www.medicum.ee/index.php?id=198</t>
  </si>
  <si>
    <t>Tasuline teenus</t>
  </si>
  <si>
    <t>Koduõde OÜ</t>
  </si>
  <si>
    <t>Keskmine km hulk visiidi kohta</t>
  </si>
  <si>
    <t>Keskmine kulu 1-le visiidile</t>
  </si>
  <si>
    <t>Keskmine kulu 1-le kilomeetrile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</si>
</sst>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63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444"/>
      <name val="Tahoma"/>
      <family val="2"/>
    </font>
    <font>
      <sz val="11"/>
      <color rgb="FF1F497D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4" fontId="0" fillId="33" borderId="1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33" borderId="14" xfId="0" applyFill="1" applyBorder="1" applyAlignment="1">
      <alignment/>
    </xf>
    <xf numFmtId="0" fontId="39" fillId="0" borderId="31" xfId="0" applyFont="1" applyBorder="1" applyAlignment="1">
      <alignment/>
    </xf>
    <xf numFmtId="164" fontId="0" fillId="0" borderId="22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9" fillId="0" borderId="0" xfId="0" applyFont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33" fillId="0" borderId="0" xfId="52" applyAlignment="1" applyProtection="1">
      <alignment/>
      <protection/>
    </xf>
    <xf numFmtId="4" fontId="0" fillId="0" borderId="33" xfId="0" applyNumberForma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2" fontId="4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22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icum.ee/index.php?id=19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34.421875" style="0" bestFit="1" customWidth="1"/>
    <col min="2" max="2" width="12.57421875" style="0" bestFit="1" customWidth="1"/>
    <col min="3" max="3" width="19.7109375" style="0" bestFit="1" customWidth="1"/>
    <col min="4" max="4" width="12.140625" style="0" bestFit="1" customWidth="1"/>
    <col min="5" max="5" width="14.57421875" style="0" bestFit="1" customWidth="1"/>
    <col min="6" max="6" width="19.57421875" style="0" bestFit="1" customWidth="1"/>
    <col min="7" max="7" width="9.7109375" style="0" customWidth="1"/>
    <col min="8" max="8" width="12.140625" style="0" bestFit="1" customWidth="1"/>
  </cols>
  <sheetData>
    <row r="1" spans="1:8" ht="15.75" thickBot="1">
      <c r="A1" s="14"/>
      <c r="B1" s="4" t="s">
        <v>0</v>
      </c>
      <c r="C1" s="5" t="s">
        <v>9</v>
      </c>
      <c r="D1" s="5" t="s">
        <v>52</v>
      </c>
      <c r="E1" s="5" t="s">
        <v>11</v>
      </c>
      <c r="F1" s="5" t="s">
        <v>12</v>
      </c>
      <c r="G1" s="5" t="s">
        <v>13</v>
      </c>
      <c r="H1" s="6" t="s">
        <v>14</v>
      </c>
    </row>
    <row r="2" spans="1:8" ht="15">
      <c r="A2" s="7" t="s">
        <v>1</v>
      </c>
      <c r="B2" s="17">
        <v>6767</v>
      </c>
      <c r="C2" s="17">
        <v>4672</v>
      </c>
      <c r="D2" s="17">
        <f>42941*0.73</f>
        <v>31346.93</v>
      </c>
      <c r="E2" s="17">
        <v>2271</v>
      </c>
      <c r="F2" s="17">
        <v>3773</v>
      </c>
      <c r="G2" s="18">
        <v>3622</v>
      </c>
      <c r="H2" s="17">
        <v>5283</v>
      </c>
    </row>
    <row r="3" spans="1:8" ht="15">
      <c r="A3" s="7" t="s">
        <v>2</v>
      </c>
      <c r="B3" s="17">
        <f>(1000+1026)/2*2*12</f>
        <v>24312</v>
      </c>
      <c r="C3" s="17">
        <v>55049</v>
      </c>
      <c r="D3" s="17">
        <f>257147.5*0.73</f>
        <v>187717.675</v>
      </c>
      <c r="E3" s="17">
        <v>18809</v>
      </c>
      <c r="F3" s="17">
        <f>(700+630+243+400+400)*12</f>
        <v>28476</v>
      </c>
      <c r="G3" s="18">
        <f>3730*12</f>
        <v>44760</v>
      </c>
      <c r="H3" s="17">
        <v>21435.6</v>
      </c>
    </row>
    <row r="4" spans="1:10" ht="15">
      <c r="A4" s="7" t="s">
        <v>45</v>
      </c>
      <c r="B4" s="17">
        <f>B3/B2</f>
        <v>3.592729422195951</v>
      </c>
      <c r="C4" s="17">
        <f aca="true" t="shared" si="0" ref="C4:H4">C3/C2</f>
        <v>11.782748287671232</v>
      </c>
      <c r="D4" s="17">
        <f t="shared" si="0"/>
        <v>5.98839104818239</v>
      </c>
      <c r="E4" s="17">
        <f t="shared" si="0"/>
        <v>8.282254513430207</v>
      </c>
      <c r="F4" s="17">
        <f t="shared" si="0"/>
        <v>7.547309833024118</v>
      </c>
      <c r="G4" s="17">
        <f>G3/G2</f>
        <v>12.357813362782993</v>
      </c>
      <c r="H4" s="17">
        <f t="shared" si="0"/>
        <v>4.0574673480976715</v>
      </c>
      <c r="J4" s="45"/>
    </row>
    <row r="5" spans="1:8" ht="15">
      <c r="A5" s="7" t="s">
        <v>3</v>
      </c>
      <c r="B5" s="17">
        <v>2</v>
      </c>
      <c r="C5" s="17">
        <v>1</v>
      </c>
      <c r="D5" s="17">
        <v>13</v>
      </c>
      <c r="E5" s="17"/>
      <c r="F5" s="17">
        <v>4</v>
      </c>
      <c r="G5" s="18">
        <v>5</v>
      </c>
      <c r="H5" s="17">
        <v>5</v>
      </c>
    </row>
    <row r="6" spans="1:8" ht="15">
      <c r="A6" s="7" t="s">
        <v>4</v>
      </c>
      <c r="B6" s="17">
        <v>5085</v>
      </c>
      <c r="C6" s="17">
        <v>7298</v>
      </c>
      <c r="D6" s="17">
        <f>(9054.55+632.78+4600.77)*0.73</f>
        <v>10430.313</v>
      </c>
      <c r="E6" s="18">
        <v>2148.25</v>
      </c>
      <c r="F6" s="17">
        <f>800+700+900+800</f>
        <v>3200</v>
      </c>
      <c r="G6" s="50">
        <f>932.5*12</f>
        <v>11190</v>
      </c>
      <c r="H6" s="17">
        <v>2658</v>
      </c>
    </row>
    <row r="7" spans="1:8" ht="15">
      <c r="A7" s="7" t="s">
        <v>5</v>
      </c>
      <c r="B7" s="17">
        <v>847</v>
      </c>
      <c r="C7" s="17">
        <v>1526</v>
      </c>
      <c r="D7" s="17"/>
      <c r="E7" s="51">
        <v>666</v>
      </c>
      <c r="F7" s="17">
        <f>155.66+95+135+300</f>
        <v>685.66</v>
      </c>
      <c r="G7" s="18"/>
      <c r="H7" s="17">
        <f>1000*5</f>
        <v>5000</v>
      </c>
    </row>
    <row r="8" spans="1:8" ht="15">
      <c r="A8" s="7" t="s">
        <v>44</v>
      </c>
      <c r="B8" s="17"/>
      <c r="C8" s="17">
        <v>2496</v>
      </c>
      <c r="D8" s="17"/>
      <c r="E8" s="17"/>
      <c r="F8" s="17">
        <f>3333+1500+2020.48</f>
        <v>6853.48</v>
      </c>
      <c r="G8" s="17"/>
      <c r="H8" s="17"/>
    </row>
    <row r="9" spans="1:8" ht="15">
      <c r="A9" s="7" t="s">
        <v>43</v>
      </c>
      <c r="B9" s="17"/>
      <c r="C9" s="17">
        <v>453</v>
      </c>
      <c r="D9" s="17"/>
      <c r="E9" s="17"/>
      <c r="F9" s="17">
        <f>102.39+57+34.17+55.55</f>
        <v>249.11</v>
      </c>
      <c r="G9" s="17"/>
      <c r="H9" s="17">
        <v>480</v>
      </c>
    </row>
    <row r="10" spans="1:8" ht="15">
      <c r="A10" s="7" t="s">
        <v>42</v>
      </c>
      <c r="B10" s="17"/>
      <c r="C10" s="17"/>
      <c r="D10" s="17"/>
      <c r="E10" s="17"/>
      <c r="F10" s="17">
        <f>467.88+258.6+455.14</f>
        <v>1181.62</v>
      </c>
      <c r="G10" s="17"/>
      <c r="H10" s="17"/>
    </row>
    <row r="11" spans="1:8" ht="15">
      <c r="A11" s="7" t="s">
        <v>10</v>
      </c>
      <c r="B11" s="17"/>
      <c r="C11" s="17">
        <v>161</v>
      </c>
      <c r="D11" s="17"/>
      <c r="E11" s="51">
        <v>768</v>
      </c>
      <c r="F11" s="17"/>
      <c r="G11" s="17"/>
      <c r="H11" s="17"/>
    </row>
    <row r="12" spans="1:8" ht="15">
      <c r="A12" s="7" t="s">
        <v>41</v>
      </c>
      <c r="B12" s="17">
        <v>1036.8</v>
      </c>
      <c r="C12" s="17">
        <v>0</v>
      </c>
      <c r="D12" s="17">
        <f>4884*0.73</f>
        <v>3565.3199999999997</v>
      </c>
      <c r="E12" s="17"/>
      <c r="F12" s="17"/>
      <c r="G12" s="17">
        <f>20*12</f>
        <v>240</v>
      </c>
      <c r="H12" s="17">
        <v>305</v>
      </c>
    </row>
    <row r="13" spans="1:8" ht="15.75" thickBot="1">
      <c r="A13" s="7" t="s">
        <v>8</v>
      </c>
      <c r="B13" s="36">
        <v>6</v>
      </c>
      <c r="C13" s="36">
        <v>0</v>
      </c>
      <c r="D13" s="36"/>
      <c r="E13" s="36"/>
      <c r="F13" s="36"/>
      <c r="G13" s="36"/>
      <c r="H13" s="36">
        <v>1</v>
      </c>
    </row>
    <row r="14" spans="1:8" ht="14.25" customHeight="1">
      <c r="A14" s="3" t="s">
        <v>6</v>
      </c>
      <c r="B14" s="38">
        <f aca="true" t="shared" si="1" ref="B14:H14">SUM(B6:B12)/B2</f>
        <v>1.0298211910743313</v>
      </c>
      <c r="C14" s="38">
        <f t="shared" si="1"/>
        <v>2.554366438356164</v>
      </c>
      <c r="D14" s="38">
        <f t="shared" si="1"/>
        <v>0.44647539647423207</v>
      </c>
      <c r="E14" s="38">
        <f t="shared" si="1"/>
        <v>1.57738881549978</v>
      </c>
      <c r="F14" s="38">
        <f t="shared" si="1"/>
        <v>3.22551550490326</v>
      </c>
      <c r="G14" s="38">
        <f t="shared" si="1"/>
        <v>3.1557150745444504</v>
      </c>
      <c r="H14" s="39">
        <f t="shared" si="1"/>
        <v>1.5981449933749763</v>
      </c>
    </row>
    <row r="15" spans="1:8" ht="15.75" thickBot="1">
      <c r="A15" s="9" t="s">
        <v>7</v>
      </c>
      <c r="B15" s="10">
        <f>SUM(B6:B11)/B3</f>
        <v>0.24399473511023362</v>
      </c>
      <c r="C15" s="10">
        <f>SUM(C6:C11)/C3</f>
        <v>0.21678867917673345</v>
      </c>
      <c r="D15" s="10">
        <f>SUM(D6:D11)/D3</f>
        <v>0.05556383009751213</v>
      </c>
      <c r="E15" s="10">
        <f>SUM(E6:E11)/E3</f>
        <v>0.1904540379605508</v>
      </c>
      <c r="F15" s="10">
        <f>SUM(F6:F11)/F3</f>
        <v>0.42737287540384883</v>
      </c>
      <c r="G15" s="10">
        <f>(G6)/G3</f>
        <v>0.25</v>
      </c>
      <c r="H15" s="11">
        <f>SUM(H6:H11)/H3</f>
        <v>0.37964880852413746</v>
      </c>
    </row>
    <row r="17" ht="15">
      <c r="D17" s="44" t="s">
        <v>50</v>
      </c>
    </row>
    <row r="18" ht="15">
      <c r="D18" t="s">
        <v>51</v>
      </c>
    </row>
    <row r="19" spans="1:2" ht="15">
      <c r="A19" t="s">
        <v>39</v>
      </c>
      <c r="B19" s="2">
        <f>SUM(B3:H3)/7</f>
        <v>54365.61071428571</v>
      </c>
    </row>
    <row r="20" spans="1:2" ht="15">
      <c r="A20" t="s">
        <v>53</v>
      </c>
      <c r="B20" s="2">
        <f>SUM(B3:H3)/SUM(B2:H2)</f>
        <v>6.591491060957378</v>
      </c>
    </row>
    <row r="21" spans="1:2" ht="15">
      <c r="A21" t="s">
        <v>40</v>
      </c>
      <c r="B21" s="2">
        <v>1.92</v>
      </c>
    </row>
    <row r="24" spans="1:2" ht="15">
      <c r="A24" t="s">
        <v>54</v>
      </c>
      <c r="B24" s="49">
        <f>SUM(B6:H12)/SUM(B2:H2)</f>
        <v>1.1868647454842332</v>
      </c>
    </row>
    <row r="25" spans="1:2" ht="15">
      <c r="A25" t="s">
        <v>55</v>
      </c>
      <c r="B25" s="49">
        <f>SUM(B6:H11)/SUM(B3:H3)</f>
        <v>0.1665349845960265</v>
      </c>
    </row>
    <row r="34" ht="15">
      <c r="D34" s="1"/>
    </row>
    <row r="47" spans="1:8" ht="15">
      <c r="A47" s="46"/>
      <c r="B47" s="46"/>
      <c r="C47" s="47"/>
      <c r="D47" s="46"/>
      <c r="E47" s="46"/>
      <c r="F47" s="47"/>
      <c r="G47" s="47"/>
      <c r="H47" s="47"/>
    </row>
    <row r="48" spans="1:8" ht="15">
      <c r="A48" s="46"/>
      <c r="B48" s="48"/>
      <c r="C48" s="48"/>
      <c r="D48" s="48"/>
      <c r="E48" s="48"/>
      <c r="F48" s="48"/>
      <c r="G48" s="48"/>
      <c r="H48" s="48"/>
    </row>
    <row r="49" spans="1:8" ht="15">
      <c r="A49" s="46"/>
      <c r="B49" s="48"/>
      <c r="C49" s="48"/>
      <c r="D49" s="48"/>
      <c r="E49" s="48"/>
      <c r="F49" s="48"/>
      <c r="G49" s="48"/>
      <c r="H49" s="48"/>
    </row>
  </sheetData>
  <sheetProtection/>
  <hyperlinks>
    <hyperlink ref="D17" r:id="rId1" display="http://www.medicum.ee/index.php?id=198"/>
  </hyperlinks>
  <printOptions/>
  <pageMargins left="0.7" right="0.7" top="0.75" bottom="0.75" header="0.3" footer="0.3"/>
  <pageSetup horizontalDpi="600" verticalDpi="600" orientation="portrait" paperSize="9" r:id="rId4"/>
  <ignoredErrors>
    <ignoredError sqref="D15 D14 F14 F15:G15" formula="1"/>
    <ignoredError sqref="B14:C15" formula="1" formulaRange="1"/>
  </ignoredError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3">
      <selection activeCell="B24" sqref="B24"/>
    </sheetView>
  </sheetViews>
  <sheetFormatPr defaultColWidth="9.140625" defaultRowHeight="15"/>
  <cols>
    <col min="1" max="1" width="31.140625" style="0" bestFit="1" customWidth="1"/>
    <col min="2" max="2" width="12.00390625" style="0" bestFit="1" customWidth="1"/>
    <col min="3" max="3" width="11.57421875" style="0" bestFit="1" customWidth="1"/>
    <col min="4" max="4" width="12.00390625" style="0" bestFit="1" customWidth="1"/>
    <col min="7" max="7" width="12.7109375" style="0" bestFit="1" customWidth="1"/>
  </cols>
  <sheetData>
    <row r="1" spans="1:4" ht="75.75" thickBot="1">
      <c r="A1" s="14" t="s">
        <v>15</v>
      </c>
      <c r="B1" s="30" t="s">
        <v>16</v>
      </c>
      <c r="C1" s="30" t="s">
        <v>23</v>
      </c>
      <c r="D1" s="31" t="s">
        <v>30</v>
      </c>
    </row>
    <row r="2" spans="1:4" ht="15">
      <c r="A2" s="12" t="s">
        <v>24</v>
      </c>
      <c r="B2" s="27">
        <v>75</v>
      </c>
      <c r="C2" s="28">
        <v>51</v>
      </c>
      <c r="D2" s="29">
        <v>51</v>
      </c>
    </row>
    <row r="3" spans="1:4" ht="15">
      <c r="A3" s="12" t="s">
        <v>17</v>
      </c>
      <c r="B3" s="24" t="s">
        <v>18</v>
      </c>
      <c r="C3" s="19" t="s">
        <v>18</v>
      </c>
      <c r="D3" s="20" t="s">
        <v>18</v>
      </c>
    </row>
    <row r="4" spans="1:4" ht="15">
      <c r="A4" s="12" t="s">
        <v>25</v>
      </c>
      <c r="B4" s="25">
        <v>16244.75</v>
      </c>
      <c r="C4" s="17">
        <v>12399.75</v>
      </c>
      <c r="D4" s="21">
        <v>13159.75</v>
      </c>
    </row>
    <row r="5" spans="1:4" ht="15">
      <c r="A5" s="12" t="s">
        <v>19</v>
      </c>
      <c r="B5" s="25">
        <v>1624.47</v>
      </c>
      <c r="C5" s="17">
        <v>1239.97</v>
      </c>
      <c r="D5" s="20">
        <v>1315.97</v>
      </c>
    </row>
    <row r="6" spans="1:4" ht="15">
      <c r="A6" s="12" t="s">
        <v>20</v>
      </c>
      <c r="B6" s="24">
        <v>190</v>
      </c>
      <c r="C6" s="19">
        <v>145</v>
      </c>
      <c r="D6" s="20">
        <v>154</v>
      </c>
    </row>
    <row r="7" spans="1:4" ht="15">
      <c r="A7" s="12" t="s">
        <v>21</v>
      </c>
      <c r="B7" s="24">
        <f>60/12</f>
        <v>5</v>
      </c>
      <c r="C7" s="19">
        <v>5</v>
      </c>
      <c r="D7" s="20">
        <v>5</v>
      </c>
    </row>
    <row r="8" spans="1:4" ht="15">
      <c r="A8" s="12" t="s">
        <v>22</v>
      </c>
      <c r="B8" s="24">
        <v>249</v>
      </c>
      <c r="C8" s="19">
        <v>217.55</v>
      </c>
      <c r="D8" s="20">
        <v>217.55</v>
      </c>
    </row>
    <row r="9" spans="1:4" ht="15">
      <c r="A9" s="12" t="s">
        <v>26</v>
      </c>
      <c r="B9" s="24">
        <v>455</v>
      </c>
      <c r="C9" s="19">
        <v>410.27</v>
      </c>
      <c r="D9" s="20">
        <v>391</v>
      </c>
    </row>
    <row r="10" spans="1:4" ht="15">
      <c r="A10" s="12" t="s">
        <v>27</v>
      </c>
      <c r="B10" s="24">
        <v>495</v>
      </c>
      <c r="C10" s="19">
        <v>410.27</v>
      </c>
      <c r="D10" s="20">
        <v>426</v>
      </c>
    </row>
    <row r="11" spans="1:4" ht="15">
      <c r="A11" s="12" t="s">
        <v>28</v>
      </c>
      <c r="B11" s="24">
        <v>412</v>
      </c>
      <c r="C11" s="19">
        <v>361.76</v>
      </c>
      <c r="D11" s="20">
        <v>355</v>
      </c>
    </row>
    <row r="12" spans="1:4" ht="15">
      <c r="A12" s="12" t="s">
        <v>29</v>
      </c>
      <c r="B12" s="24">
        <v>448</v>
      </c>
      <c r="C12" s="19">
        <v>361.76</v>
      </c>
      <c r="D12" s="20">
        <v>286</v>
      </c>
    </row>
    <row r="13" spans="1:4" ht="15.75" thickBot="1">
      <c r="A13" s="13" t="s">
        <v>31</v>
      </c>
      <c r="B13" s="26">
        <v>7.1</v>
      </c>
      <c r="C13" s="22">
        <v>5.5</v>
      </c>
      <c r="D13" s="23">
        <v>6.2</v>
      </c>
    </row>
    <row r="15" ht="15.75" thickBot="1"/>
    <row r="16" spans="1:4" ht="15.75" thickBot="1">
      <c r="A16" s="33"/>
      <c r="B16" s="16" t="s">
        <v>37</v>
      </c>
      <c r="C16" s="15" t="s">
        <v>47</v>
      </c>
      <c r="D16" s="16" t="s">
        <v>48</v>
      </c>
    </row>
    <row r="17" spans="1:4" ht="15">
      <c r="A17" s="7" t="s">
        <v>32</v>
      </c>
      <c r="B17" s="35">
        <f>Sheet1!B19</f>
        <v>54365.61071428571</v>
      </c>
      <c r="C17" s="35">
        <f>Sheet1!B19</f>
        <v>54365.61071428571</v>
      </c>
      <c r="D17" s="35">
        <f>Sheet1!B19</f>
        <v>54365.61071428571</v>
      </c>
    </row>
    <row r="18" spans="1:4" ht="15">
      <c r="A18" s="7" t="s">
        <v>33</v>
      </c>
      <c r="B18" s="17">
        <f>C13/100*B22</f>
        <v>0.0737</v>
      </c>
      <c r="C18" s="17">
        <f>B13/100*B22</f>
        <v>0.09514</v>
      </c>
      <c r="D18" s="17">
        <f>D13/100*B22</f>
        <v>0.08308</v>
      </c>
    </row>
    <row r="19" spans="1:4" ht="15">
      <c r="A19" s="7" t="s">
        <v>34</v>
      </c>
      <c r="B19" s="17">
        <f>((C5/6)+(12*C6))/B17</f>
        <v>0.03580685733297834</v>
      </c>
      <c r="C19" s="17">
        <f>((B5/6)+(12*B6))/C17</f>
        <v>0.0469183545717024</v>
      </c>
      <c r="D19" s="17">
        <f>((D5/6)+(12*D6))/D17</f>
        <v>0.038026397683602206</v>
      </c>
    </row>
    <row r="20" spans="1:4" ht="15">
      <c r="A20" s="7" t="s">
        <v>38</v>
      </c>
      <c r="B20" s="17">
        <f>(C8+C12)/B17</f>
        <v>0.010655817020883277</v>
      </c>
      <c r="C20" s="17">
        <f>(C8+C12)/C17</f>
        <v>0.010655817020883277</v>
      </c>
      <c r="D20" s="17">
        <f>(D8+D12)/D17</f>
        <v>0.009262289034999871</v>
      </c>
    </row>
    <row r="21" spans="1:4" ht="15">
      <c r="A21" s="7" t="s">
        <v>35</v>
      </c>
      <c r="B21" s="34">
        <f>(C4*0.02)/B17</f>
        <v>0.004561615270052216</v>
      </c>
      <c r="C21" s="34">
        <f>(B4*0.02)/B17</f>
        <v>0.005976112394054777</v>
      </c>
      <c r="D21" s="34">
        <f>(D4*0.02)/D17</f>
        <v>0.004841203778307598</v>
      </c>
    </row>
    <row r="22" spans="1:4" ht="15.75" thickBot="1">
      <c r="A22" s="7" t="s">
        <v>36</v>
      </c>
      <c r="B22" s="36">
        <v>1.34</v>
      </c>
      <c r="C22" s="36">
        <v>1.34</v>
      </c>
      <c r="D22" s="36">
        <v>1.34</v>
      </c>
    </row>
    <row r="23" spans="1:4" ht="15">
      <c r="A23" s="40" t="s">
        <v>46</v>
      </c>
      <c r="B23" s="38">
        <f>B18+B19+B21+B20</f>
        <v>0.12472428962391384</v>
      </c>
      <c r="C23" s="38">
        <f>SUM(C18:C21)</f>
        <v>0.15869028398664045</v>
      </c>
      <c r="D23" s="39">
        <f>SUM(D18:D21)</f>
        <v>0.13520989049690968</v>
      </c>
    </row>
    <row r="24" spans="1:4" ht="15.75" thickBot="1">
      <c r="A24" s="32" t="s">
        <v>49</v>
      </c>
      <c r="B24" s="42">
        <f>B23*Sheet1!$B$20</f>
        <v>0.8221190401402871</v>
      </c>
      <c r="C24" s="42">
        <f>C23*Sheet1!$B$20</f>
        <v>1.0460055883587283</v>
      </c>
      <c r="D24" s="43">
        <f>D23*Sheet1!$B$20</f>
        <v>0.8912347845634061</v>
      </c>
    </row>
    <row r="26" spans="1:4" ht="15">
      <c r="A26" s="41"/>
      <c r="B26" s="37"/>
      <c r="C26" s="37"/>
      <c r="D26" s="37"/>
    </row>
    <row r="27" spans="1:4" ht="15">
      <c r="A27" s="37"/>
      <c r="B27" s="8"/>
      <c r="C27" s="8"/>
      <c r="D27" s="8"/>
    </row>
    <row r="28" spans="1:4" ht="15">
      <c r="A28" s="46"/>
      <c r="B28" s="46"/>
      <c r="C28" s="47"/>
      <c r="D28" s="46"/>
    </row>
    <row r="29" spans="1:4" ht="15">
      <c r="A29" s="46"/>
      <c r="B29" s="48"/>
      <c r="C29" s="48"/>
      <c r="D29" s="48"/>
    </row>
    <row r="30" spans="1:4" ht="15">
      <c r="A30" s="46"/>
      <c r="B30" s="48"/>
      <c r="C30" s="48"/>
      <c r="D30" s="48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</dc:creator>
  <cp:keywords/>
  <dc:description/>
  <cp:lastModifiedBy>Kersti Esnar</cp:lastModifiedBy>
  <dcterms:created xsi:type="dcterms:W3CDTF">2012-05-20T15:27:27Z</dcterms:created>
  <dcterms:modified xsi:type="dcterms:W3CDTF">2014-03-03T09:07:49Z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